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<sst xmlns="http://schemas.openxmlformats.org/spreadsheetml/2006/main" count="151" uniqueCount="85">
  <si>
    <t>ALT</t>
  </si>
  <si>
    <t>Temp</t>
  </si>
  <si>
    <t>WIND DATA</t>
  </si>
  <si>
    <t>Climb</t>
  </si>
  <si>
    <t>Cruise</t>
  </si>
  <si>
    <t>Indicated</t>
  </si>
  <si>
    <t>Calibrated</t>
  </si>
  <si>
    <t>True @ Alt</t>
  </si>
  <si>
    <t>Approach</t>
  </si>
  <si>
    <t>Takeoff Fuel load</t>
  </si>
  <si>
    <t>Climb and descent schedule</t>
  </si>
  <si>
    <t>Climb fuel flow</t>
  </si>
  <si>
    <t>Variation</t>
  </si>
  <si>
    <t>gallons</t>
  </si>
  <si>
    <t>feet per min</t>
  </si>
  <si>
    <t>gal per hour</t>
  </si>
  <si>
    <t>° W</t>
  </si>
  <si>
    <t>OTHER DATA</t>
  </si>
  <si>
    <t>AIRSPEED DATA</t>
  </si>
  <si>
    <t>Descent</t>
  </si>
  <si>
    <t>A Cruise</t>
  </si>
  <si>
    <t>A Climb</t>
  </si>
  <si>
    <t>A Descent</t>
  </si>
  <si>
    <t>A Approach</t>
  </si>
  <si>
    <t>Reserve Fuel</t>
  </si>
  <si>
    <t>Required Fuel</t>
  </si>
  <si>
    <t>Fuel to destination IAF</t>
  </si>
  <si>
    <t>Fuel for destination APP</t>
  </si>
  <si>
    <t>Fuel to alternate IAF</t>
  </si>
  <si>
    <t>Fuel for alternate APP</t>
  </si>
  <si>
    <t>Minimum on deck fuel</t>
  </si>
  <si>
    <t>Reserve fuel</t>
  </si>
  <si>
    <t>Total fuel required</t>
  </si>
  <si>
    <t>EST Takeoff fuel</t>
  </si>
  <si>
    <t>Minus fuel required</t>
  </si>
  <si>
    <t>Extra Fuel</t>
  </si>
  <si>
    <t>Extra Time</t>
  </si>
  <si>
    <t>Fuel on board</t>
  </si>
  <si>
    <t>Time</t>
  </si>
  <si>
    <t>Time to destination IAF</t>
  </si>
  <si>
    <t>Time for destination APP</t>
  </si>
  <si>
    <t>Time to alternate IAF</t>
  </si>
  <si>
    <t>Time for alternate APP</t>
  </si>
  <si>
    <t>Total Time</t>
  </si>
  <si>
    <t>TAS</t>
  </si>
  <si>
    <t>Extra Fuel/Time at Cruise</t>
  </si>
  <si>
    <t>20 min burn</t>
  </si>
  <si>
    <t>Departure to Destination</t>
  </si>
  <si>
    <t>Altitude</t>
  </si>
  <si>
    <t>Avg Climb</t>
  </si>
  <si>
    <t>Avg Descent</t>
  </si>
  <si>
    <t>Destination to Alternate</t>
  </si>
  <si>
    <t>Elevations</t>
  </si>
  <si>
    <t>Departure</t>
  </si>
  <si>
    <t>Destination</t>
  </si>
  <si>
    <t>Alternate</t>
  </si>
  <si>
    <t>DH at dest</t>
  </si>
  <si>
    <t>Course</t>
  </si>
  <si>
    <t>Distance</t>
  </si>
  <si>
    <t>Leg Fuel</t>
  </si>
  <si>
    <t>EFR</t>
  </si>
  <si>
    <t>Depart to IAF</t>
  </si>
  <si>
    <t>Destination Approach</t>
  </si>
  <si>
    <t>Alternate Approach</t>
  </si>
  <si>
    <t>Cruse fuel flow</t>
  </si>
  <si>
    <t>Ground Speed</t>
  </si>
  <si>
    <t>Total</t>
  </si>
  <si>
    <t>climb</t>
  </si>
  <si>
    <t>level</t>
  </si>
  <si>
    <t>P/T</t>
  </si>
  <si>
    <t>Other Variables Used</t>
  </si>
  <si>
    <t>Alt TTC</t>
  </si>
  <si>
    <t>Dep TTC</t>
  </si>
  <si>
    <t>DME</t>
  </si>
  <si>
    <t>Straight</t>
  </si>
  <si>
    <t>Total Distance</t>
  </si>
  <si>
    <t>L/R (Y or N)</t>
  </si>
  <si>
    <t>Start Radial</t>
  </si>
  <si>
    <t>End Radial</t>
  </si>
  <si>
    <t>Reserve Time</t>
  </si>
  <si>
    <t>Dir</t>
  </si>
  <si>
    <t>Spd</t>
  </si>
  <si>
    <t>level/holding</t>
  </si>
  <si>
    <t>Other</t>
  </si>
  <si>
    <t>Fuel remaining after Dest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</si>
</sst>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h]:mm:ss;@"/>
    <numFmt numFmtId="167" formatCode="[$-409]dddd\,\ mmmm\ dd\,\ yyyy"/>
    <numFmt numFmtId="168" formatCode="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2" borderId="22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H16" sqref="H16"/>
    </sheetView>
  </sheetViews>
  <sheetFormatPr defaultColWidth="9.140625" defaultRowHeight="12.75"/>
  <cols>
    <col min="1" max="16384" width="9.140625" style="1" customWidth="1"/>
  </cols>
  <sheetData>
    <row r="1" spans="2:10" ht="11.25">
      <c r="B1" s="53" t="s">
        <v>2</v>
      </c>
      <c r="C1" s="53"/>
      <c r="D1" s="53"/>
      <c r="E1" s="53"/>
      <c r="G1" s="53" t="s">
        <v>18</v>
      </c>
      <c r="H1" s="53"/>
      <c r="I1" s="53"/>
      <c r="J1" s="53"/>
    </row>
    <row r="2" spans="2:10" ht="12" thickBot="1">
      <c r="B2" s="1" t="s">
        <v>0</v>
      </c>
      <c r="C2" s="1" t="s">
        <v>80</v>
      </c>
      <c r="D2" s="1" t="s">
        <v>81</v>
      </c>
      <c r="E2" s="1" t="s">
        <v>1</v>
      </c>
      <c r="H2" s="1" t="s">
        <v>5</v>
      </c>
      <c r="I2" s="1" t="s">
        <v>6</v>
      </c>
      <c r="J2" s="1" t="s">
        <v>7</v>
      </c>
    </row>
    <row r="3" spans="2:10" ht="11.25">
      <c r="B3" s="4">
        <v>1000</v>
      </c>
      <c r="C3" s="9"/>
      <c r="D3" s="9"/>
      <c r="E3" s="10">
        <v>28</v>
      </c>
      <c r="G3" s="1" t="s">
        <v>3</v>
      </c>
      <c r="H3" s="1">
        <v>70</v>
      </c>
      <c r="I3" s="1">
        <f aca="true" t="shared" si="0" ref="I3:I8">H3-1</f>
        <v>69</v>
      </c>
      <c r="J3" s="1">
        <f>I3*(SQRT((E12+273)/288))*((1-B12/144000)^(-2.75))</f>
        <v>67.17909831190056</v>
      </c>
    </row>
    <row r="4" spans="2:10" ht="11.25">
      <c r="B4" s="5">
        <v>2000</v>
      </c>
      <c r="C4" s="11"/>
      <c r="D4" s="11"/>
      <c r="E4" s="12">
        <v>26</v>
      </c>
      <c r="G4" s="1" t="s">
        <v>4</v>
      </c>
      <c r="H4" s="1">
        <v>100</v>
      </c>
      <c r="I4" s="1">
        <f t="shared" si="0"/>
        <v>99</v>
      </c>
      <c r="J4" s="1">
        <f>I4*(SQRT((E11+273)/288))*((1-B11/144000)^(-2.75))</f>
        <v>96.38740192577036</v>
      </c>
    </row>
    <row r="5" spans="2:10" ht="11.25">
      <c r="B5" s="5">
        <v>3000</v>
      </c>
      <c r="C5" s="11"/>
      <c r="D5" s="11"/>
      <c r="E5" s="12">
        <v>24</v>
      </c>
      <c r="G5" s="1" t="s">
        <v>8</v>
      </c>
      <c r="H5" s="1">
        <v>90</v>
      </c>
      <c r="I5" s="1">
        <f t="shared" si="0"/>
        <v>89</v>
      </c>
      <c r="J5" s="1">
        <f>I5*(SQRT((E13+273)/288))*((1-B13/144000)^(-2.75))</f>
        <v>86.6513007211471</v>
      </c>
    </row>
    <row r="6" spans="2:10" ht="11.25">
      <c r="B6" s="5">
        <v>4000</v>
      </c>
      <c r="C6" s="11"/>
      <c r="D6" s="11"/>
      <c r="E6" s="12">
        <v>22</v>
      </c>
      <c r="G6" s="1" t="s">
        <v>21</v>
      </c>
      <c r="H6" s="1">
        <v>70</v>
      </c>
      <c r="I6" s="1">
        <f t="shared" si="0"/>
        <v>69</v>
      </c>
      <c r="J6" s="1">
        <f>I6*(SQRT((E15+273)/288))*((1-B15/144000)^(-2.75))</f>
        <v>67.17909831190056</v>
      </c>
    </row>
    <row r="7" spans="2:10" ht="11.25">
      <c r="B7" s="5">
        <v>5000</v>
      </c>
      <c r="C7" s="11"/>
      <c r="D7" s="11"/>
      <c r="E7" s="12">
        <v>20</v>
      </c>
      <c r="G7" s="1" t="s">
        <v>20</v>
      </c>
      <c r="H7" s="1">
        <v>100</v>
      </c>
      <c r="I7" s="1">
        <f t="shared" si="0"/>
        <v>99</v>
      </c>
      <c r="J7" s="1">
        <f>I7*(SQRT((E14+273)/288))*((1-B14/144000)^(-2.75))</f>
        <v>96.38740192577036</v>
      </c>
    </row>
    <row r="8" spans="2:10" ht="12" thickBot="1">
      <c r="B8" s="6">
        <v>6000</v>
      </c>
      <c r="C8" s="11"/>
      <c r="D8" s="11"/>
      <c r="E8" s="13">
        <v>18</v>
      </c>
      <c r="G8" s="1" t="s">
        <v>23</v>
      </c>
      <c r="H8" s="1">
        <v>90</v>
      </c>
      <c r="I8" s="1">
        <f t="shared" si="0"/>
        <v>89</v>
      </c>
      <c r="J8" s="1">
        <f>I8*(SQRT((E16+273)/288))*((1-B16/144000)^(-2.75))</f>
        <v>86.6513007211471</v>
      </c>
    </row>
    <row r="9" spans="1:5" ht="11.25">
      <c r="A9" s="7" t="s">
        <v>8</v>
      </c>
      <c r="B9" s="1">
        <v>0</v>
      </c>
      <c r="C9" s="14"/>
      <c r="D9" s="12"/>
      <c r="E9" s="51"/>
    </row>
    <row r="10" spans="1:5" ht="12" thickBot="1">
      <c r="A10" s="1" t="s">
        <v>23</v>
      </c>
      <c r="B10" s="1">
        <v>0</v>
      </c>
      <c r="C10" s="15"/>
      <c r="D10" s="13"/>
      <c r="E10" s="51"/>
    </row>
    <row r="11" spans="1:5" ht="11.25">
      <c r="A11" s="7" t="s">
        <v>4</v>
      </c>
      <c r="B11" s="1">
        <f>Sheet2!F8</f>
        <v>0</v>
      </c>
      <c r="C11" s="1">
        <f aca="true" t="shared" si="1" ref="C11:C16">IF($B11=$B$3,C$3,IF($B11=$B$4,C$4,IF($B11=$B$5,C$5,IF($B11=$B$6,C$6,IF($B11=$B$7,C$7,IF($B11=$B$8,C$8,0))))))</f>
        <v>0</v>
      </c>
      <c r="D11" s="1">
        <f aca="true" t="shared" si="2" ref="D11:E16">IF($B11=$B$3,D$3,IF($B11=$B$4,D$4,IF($B11=$B$5,D$5,IF($B11=$B$6,D$6,IF($B11=$B$7,D$7,IF($B11=$B$8,D$8,0))))))</f>
        <v>0</v>
      </c>
      <c r="E11" s="1">
        <f t="shared" si="2"/>
        <v>0</v>
      </c>
    </row>
    <row r="12" spans="1:5" ht="11.25">
      <c r="A12" s="7" t="s">
        <v>3</v>
      </c>
      <c r="B12" s="1">
        <f>Sheet2!F9</f>
        <v>0</v>
      </c>
      <c r="C12" s="1">
        <f t="shared" si="1"/>
        <v>0</v>
      </c>
      <c r="D12" s="1">
        <f t="shared" si="2"/>
        <v>0</v>
      </c>
      <c r="E12" s="1">
        <f t="shared" si="2"/>
        <v>0</v>
      </c>
    </row>
    <row r="13" spans="1:16" ht="11.25">
      <c r="A13" s="7" t="s">
        <v>19</v>
      </c>
      <c r="B13" s="1">
        <f>Sheet2!F10</f>
        <v>0</v>
      </c>
      <c r="C13" s="1">
        <f t="shared" si="1"/>
        <v>0</v>
      </c>
      <c r="D13" s="1">
        <f t="shared" si="2"/>
        <v>0</v>
      </c>
      <c r="E13" s="1">
        <f t="shared" si="2"/>
        <v>0</v>
      </c>
      <c r="P13" s="1">
        <v>130</v>
      </c>
    </row>
    <row r="14" spans="1:16" ht="11.25">
      <c r="A14" s="7" t="s">
        <v>20</v>
      </c>
      <c r="B14" s="1">
        <f>Sheet2!F19</f>
        <v>0</v>
      </c>
      <c r="C14" s="1">
        <f t="shared" si="1"/>
        <v>0</v>
      </c>
      <c r="D14" s="1">
        <f t="shared" si="2"/>
        <v>0</v>
      </c>
      <c r="E14" s="1">
        <f t="shared" si="2"/>
        <v>0</v>
      </c>
      <c r="P14" s="1">
        <v>247</v>
      </c>
    </row>
    <row r="15" spans="1:5" ht="11.25">
      <c r="A15" s="7" t="s">
        <v>21</v>
      </c>
      <c r="B15" s="1">
        <f>Sheet2!F20</f>
        <v>0</v>
      </c>
      <c r="C15" s="1">
        <f t="shared" si="1"/>
        <v>0</v>
      </c>
      <c r="D15" s="1">
        <f t="shared" si="2"/>
        <v>0</v>
      </c>
      <c r="E15" s="1">
        <f t="shared" si="2"/>
        <v>0</v>
      </c>
    </row>
    <row r="16" spans="1:5" ht="11.25">
      <c r="A16" s="7" t="s">
        <v>22</v>
      </c>
      <c r="B16" s="1">
        <f>Sheet2!F21</f>
        <v>0</v>
      </c>
      <c r="C16" s="1">
        <f t="shared" si="1"/>
        <v>0</v>
      </c>
      <c r="D16" s="1">
        <f t="shared" si="2"/>
        <v>0</v>
      </c>
      <c r="E16" s="1">
        <f t="shared" si="2"/>
        <v>0</v>
      </c>
    </row>
    <row r="19" spans="2:6" ht="12" thickBot="1">
      <c r="B19" s="53" t="s">
        <v>17</v>
      </c>
      <c r="C19" s="53"/>
      <c r="D19" s="53"/>
      <c r="E19" s="53"/>
      <c r="F19" s="53"/>
    </row>
    <row r="20" spans="2:6" ht="11.25">
      <c r="B20" s="1" t="s">
        <v>9</v>
      </c>
      <c r="E20" s="52">
        <v>80</v>
      </c>
      <c r="F20" s="1" t="s">
        <v>13</v>
      </c>
    </row>
    <row r="21" spans="2:6" ht="11.25">
      <c r="B21" s="1" t="s">
        <v>10</v>
      </c>
      <c r="E21" s="8">
        <v>1000</v>
      </c>
      <c r="F21" s="1" t="s">
        <v>14</v>
      </c>
    </row>
    <row r="22" spans="2:6" ht="11.25">
      <c r="B22" s="1" t="s">
        <v>11</v>
      </c>
      <c r="E22" s="8">
        <v>30</v>
      </c>
      <c r="F22" s="1" t="s">
        <v>15</v>
      </c>
    </row>
    <row r="23" spans="2:6" ht="11.25">
      <c r="B23" s="1" t="s">
        <v>64</v>
      </c>
      <c r="E23" s="16"/>
      <c r="F23" s="1" t="s">
        <v>15</v>
      </c>
    </row>
    <row r="24" spans="2:6" ht="12" thickBot="1">
      <c r="B24" s="1" t="s">
        <v>12</v>
      </c>
      <c r="E24" s="17"/>
      <c r="F24" s="1" t="s">
        <v>16</v>
      </c>
    </row>
  </sheetData>
  <mergeCells count="3">
    <mergeCell ref="B1:E1"/>
    <mergeCell ref="G1:J1"/>
    <mergeCell ref="B19:F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37" sqref="C37"/>
    </sheetView>
  </sheetViews>
  <sheetFormatPr defaultColWidth="9.140625" defaultRowHeight="12.75"/>
  <cols>
    <col min="1" max="16384" width="9.140625" style="1" customWidth="1"/>
  </cols>
  <sheetData>
    <row r="1" spans="1:8" ht="11.25">
      <c r="A1" s="18" t="s">
        <v>24</v>
      </c>
      <c r="E1" s="19" t="s">
        <v>47</v>
      </c>
      <c r="H1" s="18" t="s">
        <v>52</v>
      </c>
    </row>
    <row r="2" spans="1:9" ht="11.25">
      <c r="A2" s="1" t="s">
        <v>46</v>
      </c>
      <c r="C2" s="1">
        <f>ROUND(Sheet1!E23/3+0.49999,0)</f>
        <v>0</v>
      </c>
      <c r="E2" s="18" t="s">
        <v>44</v>
      </c>
      <c r="H2" s="1" t="s">
        <v>53</v>
      </c>
      <c r="I2" s="22"/>
    </row>
    <row r="3" spans="5:9" ht="11.25">
      <c r="E3" s="1" t="s">
        <v>3</v>
      </c>
      <c r="F3" s="1">
        <f>ROUND(Sheet1!J3,0)</f>
        <v>67</v>
      </c>
      <c r="H3" s="1" t="s">
        <v>54</v>
      </c>
      <c r="I3" s="23"/>
    </row>
    <row r="4" spans="1:9" ht="11.25">
      <c r="A4" s="18" t="s">
        <v>25</v>
      </c>
      <c r="E4" s="1" t="s">
        <v>4</v>
      </c>
      <c r="F4" s="1">
        <f>ROUND(Sheet1!J4,0)</f>
        <v>96</v>
      </c>
      <c r="H4" s="1" t="s">
        <v>56</v>
      </c>
      <c r="I4" s="23"/>
    </row>
    <row r="5" spans="1:9" ht="11.25">
      <c r="A5" s="1" t="s">
        <v>26</v>
      </c>
      <c r="C5" s="1">
        <f>Sheet3!H13</f>
        <v>0</v>
      </c>
      <c r="E5" s="1" t="s">
        <v>8</v>
      </c>
      <c r="F5" s="1">
        <f>ROUND(Sheet1!J5,0)</f>
        <v>87</v>
      </c>
      <c r="H5" s="1" t="s">
        <v>55</v>
      </c>
      <c r="I5" s="24"/>
    </row>
    <row r="6" spans="1:3" ht="11.25">
      <c r="A6" s="1" t="s">
        <v>27</v>
      </c>
      <c r="C6" s="1">
        <f>Sheet3!J23</f>
        <v>0</v>
      </c>
    </row>
    <row r="7" spans="1:5" ht="11.25">
      <c r="A7" s="1" t="s">
        <v>28</v>
      </c>
      <c r="C7" s="1">
        <f>Sheet3!H32</f>
        <v>0</v>
      </c>
      <c r="E7" s="18" t="s">
        <v>48</v>
      </c>
    </row>
    <row r="8" spans="1:6" ht="11.25">
      <c r="A8" s="1" t="s">
        <v>29</v>
      </c>
      <c r="C8" s="1">
        <f>Sheet3!J42</f>
        <v>0</v>
      </c>
      <c r="E8" s="1" t="s">
        <v>4</v>
      </c>
      <c r="F8" s="21"/>
    </row>
    <row r="9" spans="1:6" ht="11.25">
      <c r="A9" s="1" t="s">
        <v>31</v>
      </c>
      <c r="C9" s="1">
        <f>C2</f>
        <v>0</v>
      </c>
      <c r="E9" s="1" t="s">
        <v>49</v>
      </c>
      <c r="F9" s="1">
        <f>ROUND((F8+I2)/2000,0)*1000</f>
        <v>0</v>
      </c>
    </row>
    <row r="10" spans="1:6" ht="11.25">
      <c r="A10" s="1" t="s">
        <v>30</v>
      </c>
      <c r="C10" s="1">
        <v>10</v>
      </c>
      <c r="E10" s="1" t="s">
        <v>50</v>
      </c>
      <c r="F10" s="1">
        <f>ROUND((F8+I3)/2000,0)*1000</f>
        <v>0</v>
      </c>
    </row>
    <row r="11" spans="1:3" ht="11.25">
      <c r="A11" s="1" t="s">
        <v>32</v>
      </c>
      <c r="C11" s="1">
        <f>SUM(C5:C10)</f>
        <v>10</v>
      </c>
    </row>
    <row r="12" ht="11.25">
      <c r="E12" s="20" t="s">
        <v>51</v>
      </c>
    </row>
    <row r="13" spans="1:5" ht="11.25">
      <c r="A13" s="18" t="s">
        <v>45</v>
      </c>
      <c r="E13" s="18" t="s">
        <v>44</v>
      </c>
    </row>
    <row r="14" spans="1:6" ht="11.25">
      <c r="A14" s="1" t="s">
        <v>33</v>
      </c>
      <c r="C14" s="1">
        <f>Sheet1!E20</f>
        <v>80</v>
      </c>
      <c r="E14" s="1" t="s">
        <v>3</v>
      </c>
      <c r="F14" s="1">
        <f>ROUND(Sheet1!J6,0)</f>
        <v>67</v>
      </c>
    </row>
    <row r="15" spans="1:6" ht="11.25">
      <c r="A15" s="1" t="s">
        <v>34</v>
      </c>
      <c r="C15" s="1">
        <f>C11</f>
        <v>10</v>
      </c>
      <c r="E15" s="1" t="s">
        <v>4</v>
      </c>
      <c r="F15" s="1">
        <f>ROUND(Sheet1!J7,0)</f>
        <v>96</v>
      </c>
    </row>
    <row r="16" spans="1:6" ht="11.25">
      <c r="A16" s="1" t="s">
        <v>35</v>
      </c>
      <c r="C16" s="1">
        <f>C14-C15</f>
        <v>70</v>
      </c>
      <c r="E16" s="1" t="s">
        <v>8</v>
      </c>
      <c r="F16" s="1">
        <f>ROUND(Sheet1!J8,0)</f>
        <v>87</v>
      </c>
    </row>
    <row r="17" spans="1:3" ht="11.25">
      <c r="A17" s="1" t="s">
        <v>36</v>
      </c>
      <c r="C17" s="1" t="e">
        <f>INT(C16/Sheet1!E23*60)</f>
        <v>#DIV/0!</v>
      </c>
    </row>
    <row r="18" ht="11.25">
      <c r="E18" s="18" t="s">
        <v>48</v>
      </c>
    </row>
    <row r="19" spans="1:6" ht="11.25">
      <c r="A19" s="18" t="s">
        <v>37</v>
      </c>
      <c r="E19" s="1" t="s">
        <v>4</v>
      </c>
      <c r="F19" s="21"/>
    </row>
    <row r="20" spans="1:6" ht="11.25">
      <c r="A20" s="1" t="s">
        <v>39</v>
      </c>
      <c r="C20" s="1">
        <f>Sheet3!E13</f>
        <v>0</v>
      </c>
      <c r="E20" s="1" t="s">
        <v>49</v>
      </c>
      <c r="F20" s="1">
        <f>ROUND((F19+I4)/2000,0)*1000</f>
        <v>0</v>
      </c>
    </row>
    <row r="21" spans="1:6" ht="11.25">
      <c r="A21" s="1" t="s">
        <v>40</v>
      </c>
      <c r="C21" s="1">
        <f>Sheet3!I23</f>
        <v>0</v>
      </c>
      <c r="E21" s="1" t="s">
        <v>50</v>
      </c>
      <c r="F21" s="1">
        <f>ROUND((F19+I5)/2000,0)*1000</f>
        <v>0</v>
      </c>
    </row>
    <row r="22" spans="1:3" ht="11.25">
      <c r="A22" s="1" t="s">
        <v>41</v>
      </c>
      <c r="C22" s="1">
        <f>Sheet3!E32</f>
        <v>0</v>
      </c>
    </row>
    <row r="23" spans="1:5" ht="11.25">
      <c r="A23" s="1" t="s">
        <v>42</v>
      </c>
      <c r="C23" s="1">
        <f>Sheet3!I42</f>
        <v>0</v>
      </c>
      <c r="E23" s="1" t="s">
        <v>70</v>
      </c>
    </row>
    <row r="24" spans="1:6" ht="11.25">
      <c r="A24" s="1" t="s">
        <v>79</v>
      </c>
      <c r="C24" s="1">
        <v>20</v>
      </c>
      <c r="E24" s="1" t="s">
        <v>72</v>
      </c>
      <c r="F24" s="1">
        <f>ROUND((F8-I2)/Sheet1!E21,0)</f>
        <v>0</v>
      </c>
    </row>
    <row r="25" spans="1:6" ht="11.25">
      <c r="A25" s="1" t="s">
        <v>36</v>
      </c>
      <c r="C25" s="1" t="e">
        <f>C17</f>
        <v>#DIV/0!</v>
      </c>
      <c r="E25" s="1" t="s">
        <v>71</v>
      </c>
      <c r="F25" s="1">
        <f>ROUND((F19-I4)/Sheet1!E21,0)</f>
        <v>0</v>
      </c>
    </row>
    <row r="26" spans="1:3" ht="11.25">
      <c r="A26" s="1" t="s">
        <v>43</v>
      </c>
      <c r="C26" s="1" t="e">
        <f>SUM(C20:C25)</f>
        <v>#DIV/0!</v>
      </c>
    </row>
    <row r="28" ht="11.25">
      <c r="A28" s="18" t="s">
        <v>83</v>
      </c>
    </row>
    <row r="29" spans="1:3" ht="11.25">
      <c r="A29" s="1" t="s">
        <v>84</v>
      </c>
      <c r="C29" s="1" t="e">
        <f>INT(Sheet3!K22/Sheet1!E23*60)</f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L16" sqref="L16"/>
    </sheetView>
  </sheetViews>
  <sheetFormatPr defaultColWidth="9.140625" defaultRowHeight="12.75"/>
  <cols>
    <col min="1" max="16384" width="9.140625" style="1" customWidth="1"/>
  </cols>
  <sheetData>
    <row r="1" ht="11.25">
      <c r="A1" s="19" t="s">
        <v>61</v>
      </c>
    </row>
    <row r="2" spans="2:12" ht="11.25">
      <c r="B2" s="18" t="s">
        <v>58</v>
      </c>
      <c r="E2" s="18" t="s">
        <v>38</v>
      </c>
      <c r="H2" s="18" t="s">
        <v>59</v>
      </c>
      <c r="L2" s="1" t="s">
        <v>65</v>
      </c>
    </row>
    <row r="3" spans="1:13" ht="11.25">
      <c r="A3" s="1" t="s">
        <v>57</v>
      </c>
      <c r="B3" s="1" t="s">
        <v>66</v>
      </c>
      <c r="C3" s="1" t="s">
        <v>67</v>
      </c>
      <c r="D3" s="1" t="s">
        <v>68</v>
      </c>
      <c r="E3" s="1" t="s">
        <v>66</v>
      </c>
      <c r="F3" s="1" t="s">
        <v>67</v>
      </c>
      <c r="G3" s="1" t="s">
        <v>82</v>
      </c>
      <c r="H3" s="1" t="s">
        <v>66</v>
      </c>
      <c r="I3" s="1" t="s">
        <v>67</v>
      </c>
      <c r="J3" s="1" t="s">
        <v>68</v>
      </c>
      <c r="K3" s="1" t="s">
        <v>60</v>
      </c>
      <c r="L3" s="1" t="s">
        <v>67</v>
      </c>
      <c r="M3" s="1" t="s">
        <v>68</v>
      </c>
    </row>
    <row r="4" spans="1:13" ht="11.25">
      <c r="A4" s="25"/>
      <c r="B4" s="26"/>
      <c r="C4" s="1">
        <f>IF(B4&lt;ROUND(Sheet2!F24/60*L4,0),B4,ROUND(L4*Sheet2!F24/60,0))</f>
        <v>0</v>
      </c>
      <c r="D4" s="1">
        <f>B4-C4</f>
        <v>0</v>
      </c>
      <c r="E4" s="1">
        <f>F4+G4</f>
        <v>0</v>
      </c>
      <c r="F4" s="1">
        <f>IF(B4&lt;ROUND(Sheet2!F24/60*L4,0),ROUND(B4/L4*60,0),Sheet2!F24)</f>
        <v>0</v>
      </c>
      <c r="G4" s="48">
        <f>IF(B4&gt;ROUND(Sheet2!F24/60*L4,0),ROUND(D4/M4*60,0),0)</f>
        <v>0</v>
      </c>
      <c r="H4" s="1">
        <f>I4+J4</f>
        <v>0</v>
      </c>
      <c r="I4" s="1">
        <f>ROUND(F4*Sheet1!$E$22/60+0.49999,0)</f>
        <v>0</v>
      </c>
      <c r="J4" s="1">
        <f>ROUND(G4*Sheet1!$E$23/60+0.49999,0)</f>
        <v>0</v>
      </c>
      <c r="K4" s="1">
        <f>Sheet1!$E$20-H4</f>
        <v>80</v>
      </c>
      <c r="L4" s="1">
        <f>ROUND(Sheet1!$D$12*SIN((((A4-Sheet1!$E$24)-Sheet1!$C$12)-90)*PI()/180),0)+Sheet2!$F$3</f>
        <v>67</v>
      </c>
      <c r="M4" s="1">
        <f>ROUND(Sheet1!$D$11*SIN((((A4-Sheet1!$E$24)-Sheet1!$C$11)-90)*PI()/180),0)+Sheet2!$F$4</f>
        <v>96</v>
      </c>
    </row>
    <row r="5" spans="1:13" ht="11.25">
      <c r="A5" s="27"/>
      <c r="B5" s="28"/>
      <c r="C5" s="1">
        <f aca="true" t="shared" si="0" ref="C5:C12">ROUND(F5*L5/60,0)</f>
        <v>0</v>
      </c>
      <c r="D5" s="1">
        <f>B5-C5</f>
        <v>0</v>
      </c>
      <c r="E5" s="1">
        <f aca="true" t="shared" si="1" ref="E5:E12">F5+G5</f>
        <v>0</v>
      </c>
      <c r="F5" s="1">
        <f>IF(Sheet2!$F$24-SUM($F$4:F4)&gt;0,IF(B5&lt;ROUND((Sheet2!$F$24-SUM($F$4:F4))/60*L5,0),ROUND(B5/L5*60,0),Sheet2!$F$24-SUM($F$4:F4)),0)</f>
        <v>0</v>
      </c>
      <c r="G5" s="49">
        <f aca="true" t="shared" si="2" ref="G5:G12">ROUND(D5/M5*60,0)</f>
        <v>0</v>
      </c>
      <c r="H5" s="1">
        <f aca="true" t="shared" si="3" ref="H5:H12">I5+J5</f>
        <v>0</v>
      </c>
      <c r="I5" s="1">
        <f>ROUND(F5*Sheet1!$E$22/60+0.49999,0)</f>
        <v>0</v>
      </c>
      <c r="J5" s="1">
        <f>ROUND(G5*Sheet1!$E$23/60+0.49999,0)</f>
        <v>0</v>
      </c>
      <c r="K5" s="1">
        <f>K4-H5</f>
        <v>80</v>
      </c>
      <c r="L5" s="1">
        <f>ROUND(Sheet1!$D$12*SIN((((A5-Sheet1!$E$24)-Sheet1!$C$12)-90)*PI()/180),0)+Sheet2!$F$3</f>
        <v>67</v>
      </c>
      <c r="M5" s="1">
        <f>ROUND(Sheet1!$D$11*SIN((((A5-Sheet1!$E$24)-Sheet1!$C$11)-90)*PI()/180),0)+Sheet2!$F$4</f>
        <v>96</v>
      </c>
    </row>
    <row r="6" spans="1:13" ht="11.25">
      <c r="A6" s="27"/>
      <c r="B6" s="28"/>
      <c r="C6" s="1">
        <f t="shared" si="0"/>
        <v>0</v>
      </c>
      <c r="D6" s="1">
        <f aca="true" t="shared" si="4" ref="D6:D12">B6-C6</f>
        <v>0</v>
      </c>
      <c r="E6" s="1">
        <f t="shared" si="1"/>
        <v>0</v>
      </c>
      <c r="F6" s="1">
        <f>IF(Sheet2!$F$24-SUM($F$4:F5)&gt;0,IF(B6&lt;ROUND((Sheet2!$F$24-SUM($F$4:F5))/60*L6,0),ROUND(B6/L6*60,0),Sheet2!$F$24-SUM($F$4:F5)),0)</f>
        <v>0</v>
      </c>
      <c r="G6" s="49">
        <f t="shared" si="2"/>
        <v>0</v>
      </c>
      <c r="H6" s="1">
        <f t="shared" si="3"/>
        <v>0</v>
      </c>
      <c r="I6" s="1">
        <f>ROUND(F6*Sheet1!$E$22/60+0.49999,0)</f>
        <v>0</v>
      </c>
      <c r="J6" s="1">
        <f>ROUND(G6*Sheet1!$E$23/60+0.49999,0)</f>
        <v>0</v>
      </c>
      <c r="K6" s="1">
        <f aca="true" t="shared" si="5" ref="K6:K12">K5-H6</f>
        <v>80</v>
      </c>
      <c r="L6" s="1">
        <f>ROUND(Sheet1!$D$12*SIN((((A6-Sheet1!$E$24)-Sheet1!$C$12)-90)*PI()/180),0)+Sheet2!$F$3</f>
        <v>67</v>
      </c>
      <c r="M6" s="1">
        <f>ROUND(Sheet1!$D$11*SIN((((A6-Sheet1!$E$24)-Sheet1!$C$11)-90)*PI()/180),0)+Sheet2!$F$4</f>
        <v>96</v>
      </c>
    </row>
    <row r="7" spans="1:13" ht="11.25">
      <c r="A7" s="27"/>
      <c r="B7" s="28"/>
      <c r="C7" s="1">
        <f t="shared" si="0"/>
        <v>0</v>
      </c>
      <c r="D7" s="1">
        <f t="shared" si="4"/>
        <v>0</v>
      </c>
      <c r="E7" s="1">
        <f t="shared" si="1"/>
        <v>0</v>
      </c>
      <c r="F7" s="1">
        <f>IF(Sheet2!$F$24-SUM($F$4:F6)&gt;0,IF(B7&lt;ROUND((Sheet2!$F$24-SUM($F$4:F6))/60*L7,0),ROUND(B7/L7*60,0),Sheet2!$F$24-SUM($F$4:F6)),0)</f>
        <v>0</v>
      </c>
      <c r="G7" s="49">
        <f t="shared" si="2"/>
        <v>0</v>
      </c>
      <c r="H7" s="1">
        <f t="shared" si="3"/>
        <v>0</v>
      </c>
      <c r="I7" s="1">
        <f>ROUND(F7*Sheet1!$E$22/60+0.49999,0)</f>
        <v>0</v>
      </c>
      <c r="J7" s="1">
        <f>ROUND(G7*Sheet1!$E$23/60+0.49999,0)</f>
        <v>0</v>
      </c>
      <c r="K7" s="1">
        <f t="shared" si="5"/>
        <v>80</v>
      </c>
      <c r="L7" s="1">
        <f>ROUND(Sheet1!$D$12*SIN((((A7-Sheet1!$E$24)-Sheet1!$C$12)-90)*PI()/180),0)+Sheet2!$F$3</f>
        <v>67</v>
      </c>
      <c r="M7" s="1">
        <f>ROUND(Sheet1!$D$11*SIN((((A7-Sheet1!$E$24)-Sheet1!$C$11)-90)*PI()/180),0)+Sheet2!$F$4</f>
        <v>96</v>
      </c>
    </row>
    <row r="8" spans="1:13" ht="11.25">
      <c r="A8" s="27"/>
      <c r="B8" s="28"/>
      <c r="C8" s="1">
        <f t="shared" si="0"/>
        <v>0</v>
      </c>
      <c r="D8" s="1">
        <f t="shared" si="4"/>
        <v>0</v>
      </c>
      <c r="E8" s="1">
        <f t="shared" si="1"/>
        <v>0</v>
      </c>
      <c r="F8" s="1">
        <f>IF(Sheet2!$F$24-SUM($F$4:F7)&gt;0,IF(B8&lt;ROUND((Sheet2!$F$24-SUM($F$4:F7))/60*L8,0),ROUND(B8/L8*60,0),Sheet2!$F$24-SUM($F$4:F7)),0)</f>
        <v>0</v>
      </c>
      <c r="G8" s="49">
        <f t="shared" si="2"/>
        <v>0</v>
      </c>
      <c r="H8" s="1">
        <f t="shared" si="3"/>
        <v>0</v>
      </c>
      <c r="I8" s="1">
        <f>ROUND(F8*Sheet1!$E$22/60+0.49999,0)</f>
        <v>0</v>
      </c>
      <c r="J8" s="1">
        <f>ROUND(G8*Sheet1!$E$23/60+0.49999,0)</f>
        <v>0</v>
      </c>
      <c r="K8" s="1">
        <f t="shared" si="5"/>
        <v>80</v>
      </c>
      <c r="L8" s="1">
        <f>ROUND(Sheet1!$D$12*SIN((((A8-Sheet1!$E$24)-Sheet1!$C$12)-90)*PI()/180),0)+Sheet2!$F$3</f>
        <v>67</v>
      </c>
      <c r="M8" s="1">
        <f>ROUND(Sheet1!$D$11*SIN((((A8-Sheet1!$E$24)-Sheet1!$C$11)-90)*PI()/180),0)+Sheet2!$F$4</f>
        <v>96</v>
      </c>
    </row>
    <row r="9" spans="1:13" ht="11.25">
      <c r="A9" s="27"/>
      <c r="B9" s="28"/>
      <c r="C9" s="1">
        <f t="shared" si="0"/>
        <v>0</v>
      </c>
      <c r="D9" s="1">
        <f t="shared" si="4"/>
        <v>0</v>
      </c>
      <c r="E9" s="1">
        <f t="shared" si="1"/>
        <v>0</v>
      </c>
      <c r="F9" s="1">
        <f>IF(Sheet2!$F$24-SUM($F$4:F8)&gt;0,IF(B9&lt;ROUND((Sheet2!$F$24-SUM($F$4:F8))/60*L9,0),ROUND(B9/L9*60,0),Sheet2!$F$24-SUM($F$4:F8)),0)</f>
        <v>0</v>
      </c>
      <c r="G9" s="49">
        <f t="shared" si="2"/>
        <v>0</v>
      </c>
      <c r="H9" s="1">
        <f t="shared" si="3"/>
        <v>0</v>
      </c>
      <c r="I9" s="1">
        <f>ROUND(F9*Sheet1!$E$22/60+0.49999,0)</f>
        <v>0</v>
      </c>
      <c r="J9" s="1">
        <f>ROUND(G9*Sheet1!$E$23/60+0.49999,0)</f>
        <v>0</v>
      </c>
      <c r="K9" s="1">
        <f t="shared" si="5"/>
        <v>80</v>
      </c>
      <c r="L9" s="1">
        <f>ROUND(Sheet1!$D$12*SIN((((A9-Sheet1!$E$24)-Sheet1!$C$12)-90)*PI()/180),0)+Sheet2!$F$3</f>
        <v>67</v>
      </c>
      <c r="M9" s="1">
        <f>ROUND(Sheet1!$D$11*SIN((((A9-Sheet1!$E$24)-Sheet1!$C$11)-90)*PI()/180),0)+Sheet2!$F$4</f>
        <v>96</v>
      </c>
    </row>
    <row r="10" spans="1:13" ht="11.25">
      <c r="A10" s="27"/>
      <c r="B10" s="28"/>
      <c r="C10" s="1">
        <f t="shared" si="0"/>
        <v>0</v>
      </c>
      <c r="D10" s="1">
        <f t="shared" si="4"/>
        <v>0</v>
      </c>
      <c r="E10" s="1">
        <f t="shared" si="1"/>
        <v>0</v>
      </c>
      <c r="F10" s="1">
        <f>IF(Sheet2!$F$24-SUM($F$4:F9)&gt;0,IF(B10&lt;ROUND((Sheet2!$F$24-SUM($F$4:F9))/60*L10,0),ROUND(B10/L10*60,0),Sheet2!$F$24-SUM($F$4:F9)),0)</f>
        <v>0</v>
      </c>
      <c r="G10" s="49">
        <f t="shared" si="2"/>
        <v>0</v>
      </c>
      <c r="H10" s="1">
        <f t="shared" si="3"/>
        <v>0</v>
      </c>
      <c r="I10" s="1">
        <f>ROUND(F10*Sheet1!$E$22/60+0.49999,0)</f>
        <v>0</v>
      </c>
      <c r="J10" s="1">
        <f>ROUND(G10*Sheet1!$E$23/60+0.49999,0)</f>
        <v>0</v>
      </c>
      <c r="K10" s="1">
        <f t="shared" si="5"/>
        <v>80</v>
      </c>
      <c r="L10" s="1">
        <f>ROUND(Sheet1!$D$12*SIN((((A10-Sheet1!$E$24)-Sheet1!$C$12)-90)*PI()/180),0)+Sheet2!$F$3</f>
        <v>67</v>
      </c>
      <c r="M10" s="1">
        <f>ROUND(Sheet1!$D$11*SIN((((A10-Sheet1!$E$24)-Sheet1!$C$11)-90)*PI()/180),0)+Sheet2!$F$4</f>
        <v>96</v>
      </c>
    </row>
    <row r="11" spans="1:13" ht="11.25">
      <c r="A11" s="27"/>
      <c r="B11" s="28"/>
      <c r="C11" s="1">
        <f t="shared" si="0"/>
        <v>0</v>
      </c>
      <c r="D11" s="1">
        <f t="shared" si="4"/>
        <v>0</v>
      </c>
      <c r="E11" s="1">
        <f t="shared" si="1"/>
        <v>0</v>
      </c>
      <c r="F11" s="1">
        <f>IF(Sheet2!$F$24-SUM($F$4:F10)&gt;0,IF(B11&lt;ROUND((Sheet2!$F$24-SUM($F$4:F10))/60*L11,0),ROUND(B11/L11*60,0),Sheet2!$F$24-SUM($F$4:F10)),0)</f>
        <v>0</v>
      </c>
      <c r="G11" s="49">
        <f t="shared" si="2"/>
        <v>0</v>
      </c>
      <c r="H11" s="1">
        <f t="shared" si="3"/>
        <v>0</v>
      </c>
      <c r="I11" s="1">
        <f>ROUND(F11*Sheet1!$E$22/60+0.49999,0)</f>
        <v>0</v>
      </c>
      <c r="J11" s="1">
        <f>ROUND(G11*Sheet1!$E$23/60+0.49999,0)</f>
        <v>0</v>
      </c>
      <c r="K11" s="1">
        <f t="shared" si="5"/>
        <v>80</v>
      </c>
      <c r="L11" s="1">
        <f>ROUND(Sheet1!$D$12*SIN((((A11-Sheet1!$E$24)-Sheet1!$C$12)-90)*PI()/180),0)+Sheet2!$F$3</f>
        <v>67</v>
      </c>
      <c r="M11" s="1">
        <f>ROUND(Sheet1!$D$11*SIN((((A11-Sheet1!$E$24)-Sheet1!$C$11)-90)*PI()/180),0)+Sheet2!$F$4</f>
        <v>96</v>
      </c>
    </row>
    <row r="12" spans="1:13" ht="11.25">
      <c r="A12" s="29"/>
      <c r="B12" s="30"/>
      <c r="C12" s="1">
        <f t="shared" si="0"/>
        <v>0</v>
      </c>
      <c r="D12" s="1">
        <f t="shared" si="4"/>
        <v>0</v>
      </c>
      <c r="E12" s="1">
        <f t="shared" si="1"/>
        <v>0</v>
      </c>
      <c r="F12" s="1">
        <f>IF(Sheet2!$F$24-SUM($F$4:F11)&gt;0,IF(B12&lt;ROUND((Sheet2!$F$24-SUM($F$4:F11))/60*L12,0),ROUND(B12/L12*60,0),Sheet2!$F$24-SUM($F$4:F11)),0)</f>
        <v>0</v>
      </c>
      <c r="G12" s="50">
        <f t="shared" si="2"/>
        <v>0</v>
      </c>
      <c r="H12" s="1">
        <f t="shared" si="3"/>
        <v>0</v>
      </c>
      <c r="I12" s="1">
        <f>ROUND(F12*Sheet1!$E$22/60+0.49999,0)</f>
        <v>0</v>
      </c>
      <c r="J12" s="1">
        <f>ROUND(G12*Sheet1!$E$23/60+0.49999,0)</f>
        <v>0</v>
      </c>
      <c r="K12" s="1">
        <f t="shared" si="5"/>
        <v>80</v>
      </c>
      <c r="L12" s="1">
        <f>ROUND(Sheet1!$D$12*SIN((((A12-Sheet1!$E$24)-Sheet1!$C$12)-90)*PI()/180),0)+Sheet2!$F$3</f>
        <v>67</v>
      </c>
      <c r="M12" s="1">
        <f>ROUND(Sheet1!$D$11*SIN((((A12-Sheet1!$E$24)-Sheet1!$C$11)-90)*PI()/180),0)+Sheet2!$F$4</f>
        <v>96</v>
      </c>
    </row>
    <row r="13" spans="2:8" ht="11.25">
      <c r="B13" s="18">
        <f>SUM(B4:B12)</f>
        <v>0</v>
      </c>
      <c r="E13" s="18">
        <f>SUM(E4:E12)</f>
        <v>0</v>
      </c>
      <c r="H13" s="18">
        <f>SUM(H4:H12)</f>
        <v>0</v>
      </c>
    </row>
    <row r="15" ht="11.25">
      <c r="A15" s="19" t="s">
        <v>62</v>
      </c>
    </row>
    <row r="16" ht="11.25">
      <c r="I16" s="1" t="s">
        <v>38</v>
      </c>
    </row>
    <row r="17" spans="1:13" ht="11.25">
      <c r="A17" s="1" t="s">
        <v>77</v>
      </c>
      <c r="B17" s="1" t="s">
        <v>78</v>
      </c>
      <c r="C17" s="1" t="s">
        <v>73</v>
      </c>
      <c r="D17" s="1" t="s">
        <v>76</v>
      </c>
      <c r="E17" s="1" t="s">
        <v>57</v>
      </c>
      <c r="F17" s="1" t="s">
        <v>74</v>
      </c>
      <c r="G17" s="1" t="s">
        <v>69</v>
      </c>
      <c r="H17" s="1" t="s">
        <v>75</v>
      </c>
      <c r="I17" s="1" t="s">
        <v>66</v>
      </c>
      <c r="J17" s="1" t="s">
        <v>59</v>
      </c>
      <c r="K17" s="1" t="s">
        <v>60</v>
      </c>
      <c r="L17" s="1" t="s">
        <v>65</v>
      </c>
      <c r="M17" s="1" t="s">
        <v>57</v>
      </c>
    </row>
    <row r="18" spans="1:16" ht="11.25">
      <c r="A18" s="39"/>
      <c r="B18" s="40"/>
      <c r="C18" s="40"/>
      <c r="D18" s="41"/>
      <c r="E18" s="32"/>
      <c r="F18" s="33"/>
      <c r="G18" s="48"/>
      <c r="H18" s="1">
        <f>P18</f>
        <v>0</v>
      </c>
      <c r="I18" s="1">
        <f>ROUND(H18/L18*60,0)+G18</f>
        <v>0</v>
      </c>
      <c r="J18" s="1">
        <f>ROUND(I18*Sheet1!$E$23/60+0.49999,0)</f>
        <v>0</v>
      </c>
      <c r="K18" s="1">
        <f>K12-J18</f>
        <v>80</v>
      </c>
      <c r="L18" s="1">
        <f>ROUND(Sheet1!$D$9*SIN((((M18-Sheet1!$E$24)-Sheet1!$C$9)-90)*PI()/180),0)+Sheet2!$F$5</f>
        <v>87</v>
      </c>
      <c r="M18" s="1">
        <f>IF(E18=0,IF(N18&gt;360,N18-360,IF(N18&lt;0,N18+360,N18)),E18)</f>
        <v>90</v>
      </c>
      <c r="N18" s="1">
        <f>IF(A18&gt;B18,(A18+B18)/2-90,(A18+B18)/2+90)</f>
        <v>90</v>
      </c>
      <c r="O18" s="2">
        <f>IF(D18="y",2+ROUND(C18*ABS(A18-B18)/60,0),ROUND(C18*ABS(A18-B18)/60,0))</f>
        <v>0</v>
      </c>
      <c r="P18" s="1">
        <f>IF(F18=0,IF(ABS(A18-B18)&gt;180,IF(A18&lt;180,(A18+360-B18)/60*C18,(B18+360-A18)/60*C18),O18),F18)</f>
        <v>0</v>
      </c>
    </row>
    <row r="19" spans="1:16" ht="11.25">
      <c r="A19" s="42"/>
      <c r="B19" s="43"/>
      <c r="C19" s="43"/>
      <c r="D19" s="44"/>
      <c r="E19" s="11"/>
      <c r="F19" s="35"/>
      <c r="G19" s="49"/>
      <c r="H19" s="1">
        <f>P19</f>
        <v>0</v>
      </c>
      <c r="I19" s="1">
        <f>ROUND(H19/L19*60,0)+G19</f>
        <v>0</v>
      </c>
      <c r="J19" s="1">
        <f>ROUND(I19*Sheet1!$E$23/60+0.49999,0)</f>
        <v>0</v>
      </c>
      <c r="K19" s="1">
        <f>K18-J19</f>
        <v>80</v>
      </c>
      <c r="L19" s="1">
        <f>ROUND(Sheet1!$D$9*SIN((((M19-Sheet1!$E$24)-Sheet1!$C$9)-90)*PI()/180),0)+Sheet2!$F$5</f>
        <v>87</v>
      </c>
      <c r="M19" s="1">
        <f>IF(E19=0,IF(N19&gt;360,N19-360,IF(N19&lt;0,N19+360,N19)),E19)</f>
        <v>90</v>
      </c>
      <c r="N19" s="1">
        <f>IF(A19&gt;B19,(A19+B19)/2-90,(A19+B19)/2+90)</f>
        <v>90</v>
      </c>
      <c r="O19" s="2">
        <f>IF(D19="y",2+ROUND(C19*ABS(A19-B19)/60,0),ROUND(C19*ABS(A19-B19)/60,0))</f>
        <v>0</v>
      </c>
      <c r="P19" s="1">
        <f>IF(F19=0,IF(ABS(A19-B19)&gt;180,IF(A19&lt;180,(A19+360-B19)/60*C19,(B19+360-A19)/60*C19),O19),F19)</f>
        <v>0</v>
      </c>
    </row>
    <row r="20" spans="1:16" ht="11.25">
      <c r="A20" s="42"/>
      <c r="B20" s="43"/>
      <c r="C20" s="43"/>
      <c r="D20" s="44"/>
      <c r="E20" s="11"/>
      <c r="F20" s="35"/>
      <c r="G20" s="49"/>
      <c r="H20" s="1">
        <f>P20</f>
        <v>0</v>
      </c>
      <c r="I20" s="1">
        <f>ROUND(H20/L20*60,0)+G20</f>
        <v>0</v>
      </c>
      <c r="J20" s="1">
        <f>ROUND(I20*Sheet1!$E$23/60+0.49999,0)</f>
        <v>0</v>
      </c>
      <c r="K20" s="1">
        <f>K19-J20</f>
        <v>80</v>
      </c>
      <c r="L20" s="1">
        <f>ROUND(Sheet1!$D$9*SIN((((M20-Sheet1!$E$24)-Sheet1!$C$9)-90)*PI()/180),0)+Sheet2!$F$5</f>
        <v>87</v>
      </c>
      <c r="M20" s="1">
        <f>IF(E20=0,IF(N20&gt;360,N20-360,IF(N20&lt;0,N20+360,N20)),E20)</f>
        <v>90</v>
      </c>
      <c r="N20" s="1">
        <f>IF(A20&gt;B20,(A20+B20)/2-90,(A20+B20)/2+90)</f>
        <v>90</v>
      </c>
      <c r="O20" s="2">
        <f>IF(D20="y",2+ROUND(C20*ABS(A20-B20)/60,0),ROUND(C20*ABS(A20-B20)/60,0))</f>
        <v>0</v>
      </c>
      <c r="P20" s="1">
        <f>IF(F20=0,IF(ABS(A20-B20)&gt;180,IF(A20&lt;180,(A20+360-B20)/60*C20,(B20+360-A20)/60*C20),O20),F20)</f>
        <v>0</v>
      </c>
    </row>
    <row r="21" spans="1:16" ht="11.25">
      <c r="A21" s="42"/>
      <c r="B21" s="43"/>
      <c r="C21" s="43"/>
      <c r="D21" s="44"/>
      <c r="E21" s="11"/>
      <c r="F21" s="35"/>
      <c r="G21" s="49"/>
      <c r="H21" s="1">
        <f>P21</f>
        <v>0</v>
      </c>
      <c r="I21" s="1">
        <f>ROUND(H21/L21*60,0)+G21</f>
        <v>0</v>
      </c>
      <c r="J21" s="1">
        <f>ROUND(I21*Sheet1!$E$23/60+0.49999,0)</f>
        <v>0</v>
      </c>
      <c r="K21" s="1">
        <f>K20-J21</f>
        <v>80</v>
      </c>
      <c r="L21" s="1">
        <f>ROUND(Sheet1!$D$9*SIN((((M21-Sheet1!$E$24)-Sheet1!$C$9)-90)*PI()/180),0)+Sheet2!$F$5</f>
        <v>87</v>
      </c>
      <c r="M21" s="1">
        <f>IF(E21=0,IF(N21&gt;360,N21-360,IF(N21&lt;0,N21+360,N21)),E21)</f>
        <v>90</v>
      </c>
      <c r="N21" s="1">
        <f>IF(A21&gt;B21,(A21+B21)/2-90,(A21+B21)/2+90)</f>
        <v>90</v>
      </c>
      <c r="O21" s="2">
        <f>IF(D21="y",2+ROUND(C21*ABS(A21-B21)/60,0),ROUND(C21*ABS(A21-B21)/60,0))</f>
        <v>0</v>
      </c>
      <c r="P21" s="1">
        <f>IF(F21=0,IF(ABS(A21-B21)&gt;180,IF(A21&lt;180,(A21+360-B21)/60*C21,(B21+360-A21)/60*C21),O21),F21)</f>
        <v>0</v>
      </c>
    </row>
    <row r="22" spans="1:16" ht="11.25">
      <c r="A22" s="45"/>
      <c r="B22" s="46"/>
      <c r="C22" s="46"/>
      <c r="D22" s="47"/>
      <c r="E22" s="37"/>
      <c r="F22" s="38"/>
      <c r="G22" s="50"/>
      <c r="H22" s="1">
        <f>P22</f>
        <v>0</v>
      </c>
      <c r="I22" s="1">
        <f>ROUND(H22/L22*60,0)+G22</f>
        <v>0</v>
      </c>
      <c r="J22" s="1">
        <f>ROUND(I22*Sheet1!$E$23/60+0.49999,0)</f>
        <v>0</v>
      </c>
      <c r="K22" s="1">
        <f>K21-J22</f>
        <v>80</v>
      </c>
      <c r="L22" s="1">
        <f>ROUND(Sheet1!$D$9*SIN((((M22-Sheet1!$E$24)-Sheet1!$C$9)-90)*PI()/180),0)+Sheet2!$F$5</f>
        <v>87</v>
      </c>
      <c r="M22" s="1">
        <f>IF(E22=0,IF(N22&gt;360,N22-360,IF(N22&lt;0,N22+360,N22)),E22)</f>
        <v>90</v>
      </c>
      <c r="N22" s="1">
        <f>IF(A22&gt;B22,(A22+B22)/2-90,(A22+B22)/2+90)</f>
        <v>90</v>
      </c>
      <c r="O22" s="2">
        <f>IF(D22="y",2+ROUND(C22*ABS(A22-B22)/60,0),ROUND(C22*ABS(A22-B22)/60,0))</f>
        <v>0</v>
      </c>
      <c r="P22" s="1">
        <f>IF(F22=0,IF(ABS(A22-B22)&gt;180,IF(A22&lt;180,(A22+360-B22)/60*C22,(B22+360-A22)/60*C22),O22),F22)</f>
        <v>0</v>
      </c>
    </row>
    <row r="23" spans="8:10" ht="11.25">
      <c r="H23" s="18">
        <f>SUM(H18:H22)</f>
        <v>0</v>
      </c>
      <c r="I23" s="18">
        <f>SUM(I18:I22)</f>
        <v>0</v>
      </c>
      <c r="J23" s="18">
        <f>SUM(J18:J22)</f>
        <v>0</v>
      </c>
    </row>
    <row r="25" ht="11.25">
      <c r="A25" s="20" t="s">
        <v>51</v>
      </c>
    </row>
    <row r="26" spans="2:12" ht="11.25">
      <c r="B26" s="18" t="s">
        <v>58</v>
      </c>
      <c r="E26" s="18" t="s">
        <v>38</v>
      </c>
      <c r="H26" s="18" t="s">
        <v>59</v>
      </c>
      <c r="L26" s="1" t="s">
        <v>65</v>
      </c>
    </row>
    <row r="27" spans="1:13" ht="11.25">
      <c r="A27" s="1" t="s">
        <v>57</v>
      </c>
      <c r="B27" s="1" t="s">
        <v>66</v>
      </c>
      <c r="C27" s="1" t="s">
        <v>67</v>
      </c>
      <c r="D27" s="1" t="s">
        <v>68</v>
      </c>
      <c r="E27" s="1" t="s">
        <v>66</v>
      </c>
      <c r="F27" s="1" t="s">
        <v>67</v>
      </c>
      <c r="G27" s="1" t="s">
        <v>82</v>
      </c>
      <c r="H27" s="1" t="s">
        <v>66</v>
      </c>
      <c r="I27" s="1" t="s">
        <v>67</v>
      </c>
      <c r="J27" s="1" t="s">
        <v>68</v>
      </c>
      <c r="K27" s="1" t="s">
        <v>60</v>
      </c>
      <c r="L27" s="1" t="s">
        <v>67</v>
      </c>
      <c r="M27" s="1" t="s">
        <v>68</v>
      </c>
    </row>
    <row r="28" spans="1:13" ht="11.25">
      <c r="A28" s="31"/>
      <c r="B28" s="33"/>
      <c r="C28" s="1">
        <f>IF(B28&lt;ROUND(Sheet2!F25/60*L28,0),B28,ROUND(L28*Sheet2!F25/60,0))</f>
        <v>0</v>
      </c>
      <c r="D28" s="1">
        <f>B28-C28</f>
        <v>0</v>
      </c>
      <c r="E28" s="1">
        <f>F28+G28</f>
        <v>0</v>
      </c>
      <c r="F28" s="1">
        <f>IF(B28&lt;ROUND(Sheet2!F25/60*L28,0),ROUND(B28/L28*60,0),Sheet2!F25)</f>
        <v>0</v>
      </c>
      <c r="G28" s="48">
        <f>IF(B28&gt;ROUND(Sheet2!F25/60*L28,0),ROUND(D28/M28*60,0),0)</f>
        <v>0</v>
      </c>
      <c r="H28" s="1">
        <f>I28+J28</f>
        <v>0</v>
      </c>
      <c r="I28" s="1">
        <f>ROUND(F28*Sheet1!$E$22/60+0.49999,0)</f>
        <v>0</v>
      </c>
      <c r="J28" s="1">
        <f>ROUND(G28*Sheet1!$E$23/60+0.49999,0)</f>
        <v>0</v>
      </c>
      <c r="K28" s="1">
        <f>K22-H28</f>
        <v>80</v>
      </c>
      <c r="L28" s="1">
        <f>ROUND(Sheet1!$D$15*SIN((((A28-Sheet1!$E$24)-Sheet1!$C$15)-90)*PI()/180),0)+Sheet2!$F$14</f>
        <v>67</v>
      </c>
      <c r="M28" s="1">
        <f>ROUND(Sheet1!$D$14*SIN((((A28-Sheet1!$E$24)-Sheet1!$C$14)-90)*PI()/180),0)+Sheet2!$F$15</f>
        <v>96</v>
      </c>
    </row>
    <row r="29" spans="1:13" ht="11.25">
      <c r="A29" s="34"/>
      <c r="B29" s="35"/>
      <c r="C29" s="1">
        <f>ROUND(F29*L29/60,0)</f>
        <v>0</v>
      </c>
      <c r="D29" s="1">
        <f>B29-C29</f>
        <v>0</v>
      </c>
      <c r="E29" s="1">
        <f>F29+G29</f>
        <v>0</v>
      </c>
      <c r="F29" s="1">
        <f>IF(Sheet2!$F$25-SUM($F$28:F28)&gt;0,IF(B29&lt;ROUND((Sheet2!$F$25-SUM($F$28:F28))/60*L29,0),ROUND(B29/L29*60,0),Sheet2!$F$25-SUM($F$28:F28)),0)</f>
        <v>0</v>
      </c>
      <c r="G29" s="49">
        <f>ROUND(D29/M29*60,0)</f>
        <v>0</v>
      </c>
      <c r="H29" s="1">
        <f>I29+J29</f>
        <v>0</v>
      </c>
      <c r="I29" s="1">
        <f>ROUND(F29*Sheet1!$E$22/60+0.49999,0)</f>
        <v>0</v>
      </c>
      <c r="J29" s="1">
        <f>ROUND(G29*Sheet1!$E$23/60+0.49999,0)</f>
        <v>0</v>
      </c>
      <c r="K29" s="1">
        <f>K28-H29</f>
        <v>80</v>
      </c>
      <c r="L29" s="1">
        <f>ROUND(Sheet1!$D$15*SIN((((A29-Sheet1!$E$24)-Sheet1!$C$15)-90)*PI()/180),0)+Sheet2!$F$14</f>
        <v>67</v>
      </c>
      <c r="M29" s="1">
        <f>ROUND(Sheet1!$D$14*SIN((((A29-Sheet1!$E$24)-Sheet1!$C$14)-90)*PI()/180),0)+Sheet2!$F$15</f>
        <v>96</v>
      </c>
    </row>
    <row r="30" spans="1:13" ht="11.25">
      <c r="A30" s="34"/>
      <c r="B30" s="35"/>
      <c r="C30" s="1">
        <f>ROUND(F30*L30/60,0)</f>
        <v>0</v>
      </c>
      <c r="D30" s="1">
        <f>B30-C30</f>
        <v>0</v>
      </c>
      <c r="E30" s="1">
        <f>F30+G30</f>
        <v>0</v>
      </c>
      <c r="F30" s="1">
        <f>IF(Sheet2!$F$25-SUM($F$28:F29)&gt;0,IF(B30&lt;ROUND((Sheet2!$F$25-SUM($F$28:F29))/60*L30,0),ROUND(B30/L30*60,0),Sheet2!$F$25-SUM($F$28:F29)),0)</f>
        <v>0</v>
      </c>
      <c r="G30" s="49">
        <f>ROUND(D30/M30*60,0)</f>
        <v>0</v>
      </c>
      <c r="H30" s="1">
        <f>I30+J30</f>
        <v>0</v>
      </c>
      <c r="I30" s="1">
        <f>ROUND(F30*Sheet1!$E$22/60+0.49999,0)</f>
        <v>0</v>
      </c>
      <c r="J30" s="1">
        <f>ROUND(G30*Sheet1!$E$23/60+0.49999,0)</f>
        <v>0</v>
      </c>
      <c r="K30" s="1">
        <f>K29-H30</f>
        <v>80</v>
      </c>
      <c r="L30" s="1">
        <f>ROUND(Sheet1!$D$15*SIN((((A30-Sheet1!$E$24)-Sheet1!$C$15)-90)*PI()/180),0)+Sheet2!$F$14</f>
        <v>67</v>
      </c>
      <c r="M30" s="1">
        <f>ROUND(Sheet1!$D$14*SIN((((A30-Sheet1!$E$24)-Sheet1!$C$14)-90)*PI()/180),0)+Sheet2!$F$15</f>
        <v>96</v>
      </c>
    </row>
    <row r="31" spans="1:13" ht="11.25">
      <c r="A31" s="36"/>
      <c r="B31" s="38"/>
      <c r="C31" s="1">
        <f>ROUND(F31*L31/60,0)</f>
        <v>0</v>
      </c>
      <c r="D31" s="1">
        <f>B31-C31</f>
        <v>0</v>
      </c>
      <c r="E31" s="1">
        <f>F31+G31</f>
        <v>0</v>
      </c>
      <c r="F31" s="1">
        <f>IF(Sheet2!$F$25-SUM($F$28:F30)&gt;0,IF(B31&lt;ROUND((Sheet2!$F$25-SUM($F$28:F30))/60*L31,0),ROUND(B31/L31*60,0),Sheet2!$F$25-SUM($F$28:F30)),0)</f>
        <v>0</v>
      </c>
      <c r="G31" s="50">
        <f>ROUND(D31/M31*60,0)</f>
        <v>0</v>
      </c>
      <c r="H31" s="1">
        <f>I31+J31</f>
        <v>0</v>
      </c>
      <c r="I31" s="1">
        <f>ROUND(F31*Sheet1!$E$22/60+0.49999,0)</f>
        <v>0</v>
      </c>
      <c r="J31" s="1">
        <f>ROUND(G31*Sheet1!$E$23/60+0.49999,0)</f>
        <v>0</v>
      </c>
      <c r="K31" s="1">
        <f>K30-H31</f>
        <v>80</v>
      </c>
      <c r="L31" s="1">
        <f>ROUND(Sheet1!$D$15*SIN((((A31-Sheet1!$E$24)-Sheet1!$C$15)-90)*PI()/180),0)+Sheet2!$F$14</f>
        <v>67</v>
      </c>
      <c r="M31" s="1">
        <f>ROUND(Sheet1!$D$14*SIN((((A31-Sheet1!$E$24)-Sheet1!$C$14)-90)*PI()/180),0)+Sheet2!$F$15</f>
        <v>96</v>
      </c>
    </row>
    <row r="32" spans="2:8" ht="11.25">
      <c r="B32" s="18">
        <f>SUM(B28:B31)</f>
        <v>0</v>
      </c>
      <c r="E32" s="18">
        <f>SUM(E28:E31)</f>
        <v>0</v>
      </c>
      <c r="H32" s="18">
        <f>SUM(H28:H31)</f>
        <v>0</v>
      </c>
    </row>
    <row r="34" ht="11.25">
      <c r="A34" s="20" t="s">
        <v>63</v>
      </c>
    </row>
    <row r="35" ht="11.25">
      <c r="I35" s="1" t="s">
        <v>38</v>
      </c>
    </row>
    <row r="36" spans="1:13" ht="11.25">
      <c r="A36" s="1" t="s">
        <v>77</v>
      </c>
      <c r="B36" s="1" t="s">
        <v>78</v>
      </c>
      <c r="C36" s="1" t="s">
        <v>73</v>
      </c>
      <c r="D36" s="1" t="s">
        <v>76</v>
      </c>
      <c r="E36" s="1" t="s">
        <v>57</v>
      </c>
      <c r="F36" s="1" t="s">
        <v>74</v>
      </c>
      <c r="G36" s="1" t="s">
        <v>69</v>
      </c>
      <c r="H36" s="1" t="s">
        <v>75</v>
      </c>
      <c r="I36" s="1" t="s">
        <v>66</v>
      </c>
      <c r="J36" s="1" t="s">
        <v>59</v>
      </c>
      <c r="K36" s="1" t="s">
        <v>60</v>
      </c>
      <c r="L36" s="1" t="s">
        <v>65</v>
      </c>
      <c r="M36" s="1" t="s">
        <v>57</v>
      </c>
    </row>
    <row r="37" spans="1:16" ht="11.25">
      <c r="A37" s="39"/>
      <c r="B37" s="40"/>
      <c r="C37" s="40"/>
      <c r="D37" s="41"/>
      <c r="E37" s="32"/>
      <c r="F37" s="33"/>
      <c r="G37" s="48"/>
      <c r="H37" s="1">
        <f>P37</f>
        <v>0</v>
      </c>
      <c r="I37" s="1">
        <f>ROUND(H37/L37*60,0)+G37</f>
        <v>0</v>
      </c>
      <c r="J37" s="1">
        <f>ROUND(I37*Sheet1!$E$23/60+0.49999,0)</f>
        <v>0</v>
      </c>
      <c r="K37" s="1">
        <f>K31-J37</f>
        <v>80</v>
      </c>
      <c r="L37" s="1">
        <f>ROUND(Sheet1!$D$9*SIN((((M37-Sheet1!$E$24)-Sheet1!$C$9)-90)*PI()/180),0)+Sheet2!$F$5</f>
        <v>87</v>
      </c>
      <c r="M37" s="1">
        <f>IF(E37=0,IF(N37&gt;360,N37-360,IF(N37&lt;0,N37+360,N37)),E37)</f>
        <v>90</v>
      </c>
      <c r="N37" s="1">
        <f>IF(A37&gt;B37,(A37+B37)/2-90,(A37+B37)/2+90)</f>
        <v>90</v>
      </c>
      <c r="O37" s="2">
        <f>IF(D37="y",2+ROUND(C37*ABS(A37-B37)/60,0),ROUND(C37*ABS(A37-B37)/60,0))</f>
        <v>0</v>
      </c>
      <c r="P37" s="1">
        <f>IF(F37=0,IF(ABS(A37-B37)&gt;180,IF(A37&lt;180,(A37+360-B37)/60*C37,(B37+360-A37)/60*C37),O37),F37)</f>
        <v>0</v>
      </c>
    </row>
    <row r="38" spans="1:16" ht="11.25">
      <c r="A38" s="42"/>
      <c r="B38" s="43"/>
      <c r="C38" s="43"/>
      <c r="D38" s="44"/>
      <c r="E38" s="11"/>
      <c r="F38" s="35"/>
      <c r="G38" s="49"/>
      <c r="H38" s="1">
        <f>P38</f>
        <v>0</v>
      </c>
      <c r="I38" s="1">
        <f>ROUND(H38/L38*60,0)+G38</f>
        <v>0</v>
      </c>
      <c r="J38" s="1">
        <f>ROUND(I38*Sheet1!$E$23/60+0.49999,0)</f>
        <v>0</v>
      </c>
      <c r="K38" s="1">
        <f>K37-J38</f>
        <v>80</v>
      </c>
      <c r="L38" s="1">
        <f>ROUND(Sheet1!$D$9*SIN((((M38-Sheet1!$E$24)-Sheet1!$C$9)-90)*PI()/180),0)+Sheet2!$F$5</f>
        <v>87</v>
      </c>
      <c r="M38" s="1">
        <f>IF(E38=0,IF(N38&gt;360,N38-360,IF(N38&lt;0,N38+360,N38)),E38)</f>
        <v>90</v>
      </c>
      <c r="N38" s="1">
        <f>IF(A38&gt;B38,(A38+B38)/2-90,(A38+B38)/2+90)</f>
        <v>90</v>
      </c>
      <c r="O38" s="2">
        <f>IF(D38="y",2+ROUND(C38*ABS(A38-B38)/60,0),ROUND(C38*ABS(A38-B38)/60,0))</f>
        <v>0</v>
      </c>
      <c r="P38" s="1">
        <f>IF(F38=0,IF(ABS(A38-B38)&gt;180,IF(A38&lt;180,(A38+360-B38)/60*C38,(B38+360-A38)/60*C38),O38),F38)</f>
        <v>0</v>
      </c>
    </row>
    <row r="39" spans="1:16" ht="11.25">
      <c r="A39" s="42"/>
      <c r="B39" s="43"/>
      <c r="C39" s="43"/>
      <c r="D39" s="44"/>
      <c r="E39" s="11"/>
      <c r="F39" s="35"/>
      <c r="G39" s="49"/>
      <c r="H39" s="1">
        <f>P39</f>
        <v>0</v>
      </c>
      <c r="I39" s="1">
        <f>ROUND(H39/L39*60,0)+G39</f>
        <v>0</v>
      </c>
      <c r="J39" s="1">
        <f>ROUND(I39*Sheet1!$E$23/60+0.49999,0)</f>
        <v>0</v>
      </c>
      <c r="K39" s="1">
        <f>K38-J39</f>
        <v>80</v>
      </c>
      <c r="L39" s="1">
        <f>ROUND(Sheet1!$D$9*SIN((((M39-Sheet1!$E$24)-Sheet1!$C$9)-90)*PI()/180),0)+Sheet2!$F$5</f>
        <v>87</v>
      </c>
      <c r="M39" s="1">
        <f>IF(E39=0,IF(N39&gt;360,N39-360,IF(N39&lt;0,N39+360,N39)),E39)</f>
        <v>90</v>
      </c>
      <c r="N39" s="1">
        <f>IF(A39&gt;B39,(A39+B39)/2-90,(A39+B39)/2+90)</f>
        <v>90</v>
      </c>
      <c r="O39" s="2">
        <f>IF(D39="y",2+ROUND(C39*ABS(A39-B39)/60,0),ROUND(C39*ABS(A39-B39)/60,0))</f>
        <v>0</v>
      </c>
      <c r="P39" s="1">
        <f>IF(F39=0,IF(ABS(A39-B39)&gt;180,IF(A39&lt;180,(A39+360-B39)/60*C39,(B39+360-A39)/60*C39),O39),F39)</f>
        <v>0</v>
      </c>
    </row>
    <row r="40" spans="1:16" ht="11.25">
      <c r="A40" s="42"/>
      <c r="B40" s="43"/>
      <c r="C40" s="43"/>
      <c r="D40" s="44"/>
      <c r="E40" s="11"/>
      <c r="F40" s="35"/>
      <c r="G40" s="49"/>
      <c r="H40" s="1">
        <f>P40</f>
        <v>0</v>
      </c>
      <c r="I40" s="1">
        <f>ROUND(H40/L40*60,0)+G40</f>
        <v>0</v>
      </c>
      <c r="J40" s="1">
        <f>ROUND(I40*Sheet1!$E$23/60+0.49999,0)</f>
        <v>0</v>
      </c>
      <c r="K40" s="1">
        <f>K39-J40</f>
        <v>80</v>
      </c>
      <c r="L40" s="1">
        <f>ROUND(Sheet1!$D$9*SIN((((M40-Sheet1!$E$24)-Sheet1!$C$9)-90)*PI()/180),0)+Sheet2!$F$5</f>
        <v>87</v>
      </c>
      <c r="M40" s="1">
        <f>IF(E40=0,IF(N40&gt;360,N40-360,IF(N40&lt;0,N40+360,N40)),E40)</f>
        <v>90</v>
      </c>
      <c r="N40" s="1">
        <f>IF(A40&gt;B40,(A40+B40)/2-90,(A40+B40)/2+90)</f>
        <v>90</v>
      </c>
      <c r="O40" s="2">
        <f>IF(D40="y",2+ROUND(C40*ABS(A40-B40)/60,0),ROUND(C40*ABS(A40-B40)/60,0))</f>
        <v>0</v>
      </c>
      <c r="P40" s="1">
        <f>IF(F40=0,IF(ABS(A40-B40)&gt;180,IF(A40&lt;180,(A40+360-B40)/60*C40,(B40+360-A40)/60*C40),O40),F40)</f>
        <v>0</v>
      </c>
    </row>
    <row r="41" spans="1:16" ht="11.25">
      <c r="A41" s="45"/>
      <c r="B41" s="46"/>
      <c r="C41" s="46"/>
      <c r="D41" s="47"/>
      <c r="E41" s="37"/>
      <c r="F41" s="38"/>
      <c r="G41" s="50"/>
      <c r="H41" s="1">
        <f>P41</f>
        <v>0</v>
      </c>
      <c r="I41" s="1">
        <f>ROUND(H41/L41*60,0)+G41</f>
        <v>0</v>
      </c>
      <c r="J41" s="1">
        <f>ROUND(I41*Sheet1!$E$23/60+0.49999,0)</f>
        <v>0</v>
      </c>
      <c r="K41" s="1">
        <f>K40-J41</f>
        <v>80</v>
      </c>
      <c r="L41" s="1">
        <f>ROUND(Sheet1!$D$9*SIN((((M41-Sheet1!$E$24)-Sheet1!$C$9)-90)*PI()/180),0)+Sheet2!$F$5</f>
        <v>87</v>
      </c>
      <c r="M41" s="1">
        <f>IF(E41=0,IF(N41&gt;360,N41-360,IF(N41&lt;0,N41+360,N41)),E41)</f>
        <v>90</v>
      </c>
      <c r="N41" s="1">
        <f>IF(A41&gt;B41,(A41+B41)/2-90,(A41+B41)/2+90)</f>
        <v>90</v>
      </c>
      <c r="O41" s="2">
        <f>IF(D41="y",2+ROUND(C41*ABS(A41-B41)/60,0),ROUND(C41*ABS(A41-B41)/60,0))</f>
        <v>0</v>
      </c>
      <c r="P41" s="1">
        <f>IF(F41=0,IF(ABS(A41-B41)&gt;180,IF(A41&lt;180,(A41+360-B41)/60*C41,(B41+360-A41)/60*C41),O41),F41)</f>
        <v>0</v>
      </c>
    </row>
    <row r="42" spans="1:10" ht="11.25">
      <c r="A42" s="3"/>
      <c r="B42" s="3"/>
      <c r="C42" s="3"/>
      <c r="D42" s="3"/>
      <c r="H42" s="18">
        <f>SUM(H37:H41)</f>
        <v>0</v>
      </c>
      <c r="I42" s="18">
        <f>SUM(I37:I41)</f>
        <v>0</v>
      </c>
      <c r="J42" s="18">
        <f>SUM(J37:J41)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www.brimble.com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David Brimblecom</dc:creator>
  <cp:keywords/>
  <dc:description/>
  <cp:lastModifiedBy>Michael David Brimblecom</cp:lastModifiedBy>
  <dcterms:created xsi:type="dcterms:W3CDTF">2004-06-17T18:04:27Z</dcterms:created>
  <dcterms:modified xsi:type="dcterms:W3CDTF">2004-07-24T22:33:49Z</dcterms:modified>
  <cp:category/>
  <cp:version/>
  <cp:contentType/>
  <cp:contentStatus/>
</cp:coreProperties>
</file>